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cindekiler" sheetId="1" r:id="rId4"/>
    <sheet state="visible" name="Varsayimlar" sheetId="2" r:id="rId5"/>
    <sheet state="visible" name="Projeksiyonlar" sheetId="3" r:id="rId6"/>
    <sheet state="visible" name="Degerleme_ve_Yatirim" sheetId="4" r:id="rId7"/>
    <sheet state="visible" name="Grafikler" sheetId="5" r:id="rId8"/>
    <sheet state="visible" name="Kontroller" sheetId="6" r:id="rId9"/>
  </sheets>
  <definedNames/>
  <calcPr/>
  <extLst>
    <ext uri="GoogleSheetsCustomDataVersion2">
      <go:sheetsCustomData xmlns:go="http://customooxmlschemas.google.com/" r:id="rId10" roundtripDataChecksum="bQ4NK2xumF6dcgByYcwgBspp8EaUMfRI/1PrVLpSUUY="/>
    </ext>
  </extLst>
</workbook>
</file>

<file path=xl/sharedStrings.xml><?xml version="1.0" encoding="utf-8"?>
<sst xmlns="http://schemas.openxmlformats.org/spreadsheetml/2006/main" count="186" uniqueCount="172">
  <si>
    <t>Emlak Mimarı - Finansal Varsayımlar</t>
  </si>
  <si>
    <t>Emlak Mimarı - Finansal Projeksiyon Modeli</t>
  </si>
  <si>
    <t>Sürüm: v1.0 | Güncelleme Tarihi: 2026-08-11</t>
  </si>
  <si>
    <t>AKTİF SENARYO SEÇİCİ</t>
  </si>
  <si>
    <t>Bölüm</t>
  </si>
  <si>
    <t>5 Yıllık Finansal Gelir ve Gider Projeksiyonları</t>
  </si>
  <si>
    <t>Finansal Göstergeler (TL &amp; USD)</t>
  </si>
  <si>
    <t>Sayfa Adı</t>
  </si>
  <si>
    <t>Metodoloji / Referans</t>
  </si>
  <si>
    <t>Açıklama</t>
  </si>
  <si>
    <t>&lt;- DEĞİŞTİRİN (1 = Taban Senaryo, 2 = İyimser Senaryo, 3 = Kötümser Senaryo)</t>
  </si>
  <si>
    <t>2026 (Yıl 1)</t>
  </si>
  <si>
    <t>İçerdiği Temel Metrikler</t>
  </si>
  <si>
    <t>GENEL PAZAR VARYASYONLARI VE PARAMETRELERİ</t>
  </si>
  <si>
    <t>2027 (Yıl 2)</t>
  </si>
  <si>
    <t>Navigasyon</t>
  </si>
  <si>
    <t>2028 (Yıl 3)</t>
  </si>
  <si>
    <t>1</t>
  </si>
  <si>
    <t>2029 (Yıl 4)</t>
  </si>
  <si>
    <t>Icindekiler</t>
  </si>
  <si>
    <t>2030 (Yıl 5)</t>
  </si>
  <si>
    <t>Model haritası ve biçimlendirme açıklamaları</t>
  </si>
  <si>
    <t>Dolar Kuru (USD/TRY)</t>
  </si>
  <si>
    <t>OPERASYONEL METRİKLER</t>
  </si>
  <si>
    <t>Tüm sayfaların listesi ve renk lejantı</t>
  </si>
  <si>
    <t>Emlak Mimarı - Şirket Değerlemesi ve Yatırımcı Geri Dönüşü</t>
  </si>
  <si>
    <t>Yıllık Ortalama Konut Fiyatı (TL)</t>
  </si>
  <si>
    <t>5. YIL SONU ŞİRKET DEĞERLEMESİ</t>
  </si>
  <si>
    <t>Konut Fiyatı Yıllık Artış Oranı (Enflasyon)</t>
  </si>
  <si>
    <t>Başarılı Satış İşlemi Adedi (Konut)</t>
  </si>
  <si>
    <t>Dinamik Senaryo Seçici</t>
  </si>
  <si>
    <t>EBITDA Çarpanı (Sektör Standardı)</t>
  </si>
  <si>
    <t>Alıcı Komisyon Oranı (%)</t>
  </si>
  <si>
    <t>İstanbul Konut Satış Pazarı (Yıllık Adet)</t>
  </si>
  <si>
    <t>Pazar Yıllık Adet Artışı (%)</t>
  </si>
  <si>
    <t>&lt;- Yatırımcı için varsayılan çarpan</t>
  </si>
  <si>
    <t>Talep Edilen Yatırım Tutarı ($)</t>
  </si>
  <si>
    <t>5. Yıl Sonu EBITDA (USD)</t>
  </si>
  <si>
    <t>Yatırım Karşılığı Teklif Edilen Hisse (%)</t>
  </si>
  <si>
    <t>2</t>
  </si>
  <si>
    <t>YATIRIM FONUNUN KULLANIM DAĞILIMI</t>
  </si>
  <si>
    <t>Varsayimlar</t>
  </si>
  <si>
    <t>Dinamik senaryo seçici ve finansal girdiler</t>
  </si>
  <si>
    <t>Pazarlama ve Dijital Reklam bütçesi</t>
  </si>
  <si>
    <t>Dolar Kuru, Ortalama Konut Fiyatı, Senaryolar</t>
  </si>
  <si>
    <t>3D Kamera ve Çekim Ekipmanı</t>
  </si>
  <si>
    <t>Yazılım ve Sunucu Geliştirme</t>
  </si>
  <si>
    <t>Operasyonel ve Genel Giderler</t>
  </si>
  <si>
    <t>SENARYO MATRİSİ: 5 YILLIK HEDEFLENEN İŞLEM ADETLERİ</t>
  </si>
  <si>
    <t>ID</t>
  </si>
  <si>
    <t>Senaryo Tanımı</t>
  </si>
  <si>
    <t>Yıl 1 (2026)</t>
  </si>
  <si>
    <t>Yıl 2 (2027)</t>
  </si>
  <si>
    <t>Yıl 3 (2028)</t>
  </si>
  <si>
    <t>Yıl 4 (2029)</t>
  </si>
  <si>
    <t>Yıl 5 (2030)</t>
  </si>
  <si>
    <t>Taban Senaryo (Base Case)</t>
  </si>
  <si>
    <t>3</t>
  </si>
  <si>
    <t>Projeksiyonlar</t>
  </si>
  <si>
    <t>5 yıllık dinamik gelir ve gider tablosu (TL &amp; USD)</t>
  </si>
  <si>
    <t>İyimser Senaryo (Bull Case)</t>
  </si>
  <si>
    <t>Ciro, Teşvikler, Pazarlama Giderleri, Net Kâr</t>
  </si>
  <si>
    <t>4</t>
  </si>
  <si>
    <t>Kötümser Senaryo (Bear Case)</t>
  </si>
  <si>
    <t>Degerleme_ve_Yatirim</t>
  </si>
  <si>
    <t>Yatırımcı geri dönüşü ve şirket değerlemesi</t>
  </si>
  <si>
    <t>EBITDA Çarpanı, Yatırım Getirisi (IRR), Payback</t>
  </si>
  <si>
    <t>Ortalama Konut Değeri (TL)</t>
  </si>
  <si>
    <t>Varsayımlar B7 | B8 Artış</t>
  </si>
  <si>
    <t>Girişim Değeri (USD) (Enterprise Value)</t>
  </si>
  <si>
    <t>5</t>
  </si>
  <si>
    <t>Grafikler</t>
  </si>
  <si>
    <t>Finansal büyümeyi gösteren görsel grafikler</t>
  </si>
  <si>
    <t>Gelir ve EBITDA Gelişimi, Yatırım Dağılımı</t>
  </si>
  <si>
    <t>6</t>
  </si>
  <si>
    <t>Kontroller</t>
  </si>
  <si>
    <t>Model formül ve matematik doğrulama tablosu</t>
  </si>
  <si>
    <t>Formül bütünlüğü ve tutarlılık testleri</t>
  </si>
  <si>
    <t>Model Biçimlendirme Lejantı</t>
  </si>
  <si>
    <t>Mavi Dolgu</t>
  </si>
  <si>
    <t>Girdi Hücresi (Kullanıcı tarafından değiştirilebilir assumptions)</t>
  </si>
  <si>
    <t>YATIRIMCI GERİ DÖNÜŞÜ (250.000 $ YATIRIM İÇİN)</t>
  </si>
  <si>
    <t>Yeşil Dolgu</t>
  </si>
  <si>
    <t>Hesaplama Hücresi (Formülle dinamik olarak üretilen sonuçlar)</t>
  </si>
  <si>
    <t>Toplam Platform İşlem Hacmi (TL)</t>
  </si>
  <si>
    <t>İşlem Adedi * Ortalama Fiyat</t>
  </si>
  <si>
    <t>Açık Sarı Dolgu</t>
  </si>
  <si>
    <t>Geçici Veri / Yer Tutucu (İleride gerçek verilerle güncellenmeli)</t>
  </si>
  <si>
    <t>Koyu Mavi Dolgu</t>
  </si>
  <si>
    <t>Teklif Edilen Hisse (%)</t>
  </si>
  <si>
    <t>Tablo Başlıkları ve Genel Toplamlar</t>
  </si>
  <si>
    <t>GELİR TABLOSU (TL)</t>
  </si>
  <si>
    <t>5. Yıl Sonu Yatırımcı Hisse Değeri (USD)</t>
  </si>
  <si>
    <t>Satış Komisyonu Geliri (TL) - %2</t>
  </si>
  <si>
    <t>İşlem Hacmi * Komisyon Oranı (%2)</t>
  </si>
  <si>
    <t>Yatırım Çarpanı (MOIC)</t>
  </si>
  <si>
    <t>İç Verim Oranı (IRR)</t>
  </si>
  <si>
    <t>Kiralama Komisyonu Geliri (TL) - (Kira Bedeli vb.)</t>
  </si>
  <si>
    <t>Satış Gelirinin %15'i</t>
  </si>
  <si>
    <t>YATIRIM GERİ ÖDEME (PAYBACK) VE NAKİT AKIŞ ANALİZİ</t>
  </si>
  <si>
    <t>Metrik (USD)</t>
  </si>
  <si>
    <t>Yıl 0 (Bugün)</t>
  </si>
  <si>
    <t>Premium Hizmetler ve İlan Öne Çıkarma (TL)</t>
  </si>
  <si>
    <t>Satış Gelirinin %10'u</t>
  </si>
  <si>
    <t>Yatırımcı Nakit Akışı (Girdi/Kâr Payı)</t>
  </si>
  <si>
    <t>Veri Analitiği ve Geliştirici Raporlama Abonelikleri (TL)</t>
  </si>
  <si>
    <t>Satış Gelirinin %5'i</t>
  </si>
  <si>
    <t>Toplam Brüt Gelir (TL)</t>
  </si>
  <si>
    <t>Gelir Kalemleri Toplamı</t>
  </si>
  <si>
    <t>Toplam Brüt Gelir (USD)</t>
  </si>
  <si>
    <t>TL Ciro / Dolar Kuru</t>
  </si>
  <si>
    <t>Kümülatif Nakit Akışı</t>
  </si>
  <si>
    <t>Emlak Mimarı - Finansal Model Güvenilirlik Testleri</t>
  </si>
  <si>
    <t>No</t>
  </si>
  <si>
    <t>Güvenilirlik Test Adı</t>
  </si>
  <si>
    <t>Hedeflenen Değer</t>
  </si>
  <si>
    <t>FAALİYET GİDERLERİ (TL)</t>
  </si>
  <si>
    <t>Gerçekleşen / Fark</t>
  </si>
  <si>
    <t>Test Sonucu</t>
  </si>
  <si>
    <t>Ciro Tutarlılık Testi (TL Brüt Gelir vs Toplam Parçalar)</t>
  </si>
  <si>
    <t>Yatırım Geri Dönüş Durumu</t>
  </si>
  <si>
    <t>'Ev Getir Kazan' Satıcı Teşvik Giderleri (TL)</t>
  </si>
  <si>
    <t>Satış Komisyonu * %15 (Teşvik)</t>
  </si>
  <si>
    <t>Yatırım Yapıldı</t>
  </si>
  <si>
    <t>Pazarlama ve Dijital Reklam Giderleri (TL)</t>
  </si>
  <si>
    <t>Y1 Yatırımın %60'ı | Sonra %15 Ciro</t>
  </si>
  <si>
    <t>Döviz Çevrim Kontrolü (TL Ciro / Kur - USD Ciro)</t>
  </si>
  <si>
    <t>Yazılım Bakım ve Sunucu Giderleri (TL)</t>
  </si>
  <si>
    <t>Y1 %10 Fon | Sonra %15 Artış</t>
  </si>
  <si>
    <t>EBITDA Matematiksel Tutarlılığı (TL Ciro - TL OPEX - EBITDA)</t>
  </si>
  <si>
    <t>Ekipman Amortismanı ve Çekim Giderleri (TL)</t>
  </si>
  <si>
    <t>Y1 %20 Fon | Sonra %10 Artış</t>
  </si>
  <si>
    <t>Net Kâr Doğruluk Kontrolü (EBITDA - Amortisman - Vergi - Net Kâr)</t>
  </si>
  <si>
    <t>Personel ve Ekip Maaş Giderleri (TL)</t>
  </si>
  <si>
    <t>Y1: 5 Pers. | Y5: 20 Pers. Planı</t>
  </si>
  <si>
    <t>Genel Yönetim ve Kurumsal Giderler (TL)</t>
  </si>
  <si>
    <t>Y1 %10 Fon | Sonra %10 Artış</t>
  </si>
  <si>
    <t>Toplam Faaliyet Giderleri (OPEX) (TL)</t>
  </si>
  <si>
    <t>Faaliyet Giderleri Toplamı</t>
  </si>
  <si>
    <t>Toplam Faaliyet Giderleri (OPEX) (USD)</t>
  </si>
  <si>
    <t>TL OPEX / Dolar Kuru</t>
  </si>
  <si>
    <t>FİNANSAL ÖZET &amp; KÂRLILIK</t>
  </si>
  <si>
    <t>FAVÖK (EBITDA) (TL)</t>
  </si>
  <si>
    <t>Ciro (TL) - OPEX (TL)</t>
  </si>
  <si>
    <t>FAVÖK (EBITDA) (USD)</t>
  </si>
  <si>
    <t>TL EBITDA / Dolar Kuru</t>
  </si>
  <si>
    <t>FAVÖK Marjı (%)</t>
  </si>
  <si>
    <t>EBITDA / Toplam Gelir</t>
  </si>
  <si>
    <t>Amortisman Gideri (TL)</t>
  </si>
  <si>
    <t>Kamera &amp; Ekipman / 5 Yıl</t>
  </si>
  <si>
    <t>Kurumlar Vergisi (%20) (TL)</t>
  </si>
  <si>
    <t>Pozitif Kâr üzerinden %20 Vergi</t>
  </si>
  <si>
    <t>Net Dönem Kârı (TL)</t>
  </si>
  <si>
    <t>EBITDA - Amortisman - Vergi</t>
  </si>
  <si>
    <t>Net Dönem Kârı (USD)</t>
  </si>
  <si>
    <t>TL Net Kâr / Dolar Kuru</t>
  </si>
  <si>
    <t>Net Kâr Marjı (%)</t>
  </si>
  <si>
    <t>Net Kâr / Toplam Gelir</t>
  </si>
  <si>
    <t>Emlak Mimarı - Projeksiyon Grafikleri ve Görsel Veri Paneli</t>
  </si>
  <si>
    <t>GRAFİK VERİ KAYNAKLARI (Dinmikte Bağlıdır)</t>
  </si>
  <si>
    <t>YATIRIM FONU KULLANIM KIRILIMI</t>
  </si>
  <si>
    <t>2026</t>
  </si>
  <si>
    <t>2027</t>
  </si>
  <si>
    <t>2028</t>
  </si>
  <si>
    <t>2029</t>
  </si>
  <si>
    <t>2030</t>
  </si>
  <si>
    <t>Kullanım Alanı</t>
  </si>
  <si>
    <t>Yüzde (%)</t>
  </si>
  <si>
    <t>Pazarlama &amp; Reklam</t>
  </si>
  <si>
    <t>3D Ekipman &amp; Çekim</t>
  </si>
  <si>
    <t>Yazılım &amp; Altyapı</t>
  </si>
  <si>
    <t>Operasyonel &amp; Kurumsal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</si>
</sst>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₺&quot;#,##0"/>
    <numFmt numFmtId="165" formatCode="0.0%"/>
    <numFmt numFmtId="166" formatCode="&quot;$&quot;#,##0"/>
    <numFmt numFmtId="167" formatCode="0.0&quot;x&quot;"/>
  </numFmts>
  <fonts count="9">
    <font>
      <sz val="11.0"/>
      <color theme="1"/>
      <name val="Calibri"/>
      <scheme val="minor"/>
    </font>
    <font>
      <b/>
      <sz val="16.0"/>
      <color rgb="FF1F4E78"/>
      <name val="Calibri"/>
    </font>
    <font>
      <i/>
      <sz val="9.0"/>
      <color rgb="FF595959"/>
      <name val="Calibri"/>
    </font>
    <font>
      <b/>
      <sz val="11.0"/>
      <color theme="1"/>
      <name val="Calibri"/>
    </font>
    <font>
      <b/>
      <sz val="11.0"/>
      <color rgb="FFFFFFFF"/>
      <name val="Calibri"/>
    </font>
    <font>
      <sz val="11.0"/>
      <color theme="1"/>
      <name val="Calibri"/>
    </font>
    <font/>
    <font>
      <b/>
      <u/>
      <sz val="11.0"/>
      <color rgb="FF0563C1"/>
      <name val="Calibri"/>
    </font>
    <font>
      <b/>
      <u/>
      <sz val="11.0"/>
      <color rgb="FF0563C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D6DCE4"/>
        <bgColor rgb="FFD6DCE4"/>
      </patternFill>
    </fill>
    <fill>
      <patternFill patternType="solid">
        <fgColor rgb="FF2F5496"/>
        <bgColor rgb="FF2F5496"/>
      </patternFill>
    </fill>
    <fill>
      <patternFill patternType="solid">
        <fgColor rgb="FFDCE6F1"/>
        <bgColor rgb="FFDCE6F1"/>
      </patternFill>
    </fill>
    <fill>
      <patternFill patternType="solid">
        <fgColor rgb="FF4472C4"/>
        <bgColor rgb="FF4472C4"/>
      </patternFill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</fills>
  <borders count="12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/>
      <bottom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top/>
      <bottom/>
    </border>
    <border>
      <right/>
      <top/>
      <bottom/>
    </border>
    <border>
      <left style="thin">
        <color rgb="FFD3D3D3"/>
      </left>
      <top style="thin">
        <color rgb="FFD3D3D3"/>
      </top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double">
        <color rgb="FF2F5496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1" fillId="3" fontId="4" numFmtId="0" xfId="0" applyAlignment="1" applyBorder="1" applyFill="1" applyFont="1">
      <alignment horizontal="center" vertical="center"/>
    </xf>
    <xf borderId="2" fillId="4" fontId="3" numFmtId="0" xfId="0" applyAlignment="1" applyBorder="1" applyFill="1" applyFont="1">
      <alignment horizontal="center" readingOrder="0" vertical="center"/>
    </xf>
    <xf borderId="3" fillId="5" fontId="4" numFmtId="0" xfId="0" applyAlignment="1" applyBorder="1" applyFill="1" applyFont="1">
      <alignment horizontal="left" vertical="center"/>
    </xf>
    <xf borderId="4" fillId="0" fontId="5" numFmtId="0" xfId="0" applyAlignment="1" applyBorder="1" applyFont="1">
      <alignment horizontal="center" vertical="center"/>
    </xf>
    <xf borderId="5" fillId="0" fontId="6" numFmtId="0" xfId="0" applyBorder="1" applyFont="1"/>
    <xf borderId="6" fillId="0" fontId="6" numFmtId="0" xfId="0" applyBorder="1" applyFont="1"/>
    <xf borderId="4" fillId="0" fontId="5" numFmtId="0" xfId="0" applyAlignment="1" applyBorder="1" applyFont="1">
      <alignment horizontal="left" vertical="center"/>
    </xf>
    <xf borderId="0" fillId="0" fontId="5" numFmtId="0" xfId="0" applyFont="1"/>
    <xf borderId="4" fillId="4" fontId="3" numFmtId="3" xfId="0" applyAlignment="1" applyBorder="1" applyFont="1" applyNumberFormat="1">
      <alignment horizontal="right" vertical="center"/>
    </xf>
    <xf borderId="7" fillId="5" fontId="4" numFmtId="0" xfId="0" applyBorder="1" applyFont="1"/>
    <xf borderId="8" fillId="0" fontId="6" numFmtId="0" xfId="0" applyBorder="1" applyFont="1"/>
    <xf borderId="9" fillId="0" fontId="6" numFmtId="0" xfId="0" applyBorder="1" applyFont="1"/>
    <xf borderId="4" fillId="4" fontId="3" numFmtId="164" xfId="0" applyAlignment="1" applyBorder="1" applyFont="1" applyNumberFormat="1">
      <alignment horizontal="right" readingOrder="0" vertical="center"/>
    </xf>
    <xf borderId="4" fillId="4" fontId="3" numFmtId="165" xfId="0" applyAlignment="1" applyBorder="1" applyFont="1" applyNumberFormat="1">
      <alignment horizontal="right" vertical="center"/>
    </xf>
    <xf borderId="4" fillId="0" fontId="2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vertical="center"/>
    </xf>
    <xf borderId="4" fillId="4" fontId="3" numFmtId="166" xfId="0" applyAlignment="1" applyBorder="1" applyFont="1" applyNumberFormat="1">
      <alignment horizontal="right" vertical="center"/>
    </xf>
    <xf borderId="4" fillId="6" fontId="5" numFmtId="0" xfId="0" applyAlignment="1" applyBorder="1" applyFill="1" applyFont="1">
      <alignment horizontal="center" vertical="center"/>
    </xf>
    <xf borderId="4" fillId="6" fontId="5" numFmtId="0" xfId="0" applyAlignment="1" applyBorder="1" applyFont="1">
      <alignment horizontal="left" vertical="center"/>
    </xf>
    <xf borderId="4" fillId="7" fontId="5" numFmtId="3" xfId="0" applyAlignment="1" applyBorder="1" applyFill="1" applyFont="1" applyNumberFormat="1">
      <alignment horizontal="right" vertical="center"/>
    </xf>
    <xf borderId="4" fillId="6" fontId="8" numFmtId="0" xfId="0" applyAlignment="1" applyBorder="1" applyFont="1">
      <alignment horizontal="center" vertical="center"/>
    </xf>
    <xf borderId="4" fillId="4" fontId="5" numFmtId="3" xfId="0" applyAlignment="1" applyBorder="1" applyFont="1" applyNumberFormat="1">
      <alignment horizontal="right" vertical="center"/>
    </xf>
    <xf borderId="4" fillId="7" fontId="3" numFmtId="166" xfId="0" applyAlignment="1" applyBorder="1" applyFont="1" applyNumberFormat="1">
      <alignment horizontal="right" vertical="center"/>
    </xf>
    <xf borderId="0" fillId="0" fontId="3" numFmtId="0" xfId="0" applyFont="1"/>
    <xf borderId="4" fillId="7" fontId="5" numFmtId="164" xfId="0" applyAlignment="1" applyBorder="1" applyFont="1" applyNumberFormat="1">
      <alignment horizontal="right" vertical="center"/>
    </xf>
    <xf borderId="4" fillId="4" fontId="3" numFmtId="0" xfId="0" applyAlignment="1" applyBorder="1" applyFont="1">
      <alignment horizontal="center" vertical="center"/>
    </xf>
    <xf borderId="10" fillId="7" fontId="3" numFmtId="166" xfId="0" applyAlignment="1" applyBorder="1" applyFont="1" applyNumberFormat="1">
      <alignment horizontal="right" vertical="center"/>
    </xf>
    <xf borderId="7" fillId="0" fontId="5" numFmtId="0" xfId="0" applyBorder="1" applyFont="1"/>
    <xf borderId="4" fillId="7" fontId="3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vertical="center"/>
    </xf>
    <xf borderId="4" fillId="8" fontId="3" numFmtId="0" xfId="0" applyAlignment="1" applyBorder="1" applyFill="1" applyFont="1">
      <alignment horizontal="center" vertical="center"/>
    </xf>
    <xf borderId="10" fillId="2" fontId="3" numFmtId="164" xfId="0" applyAlignment="1" applyBorder="1" applyFont="1" applyNumberFormat="1">
      <alignment horizontal="right" vertical="center"/>
    </xf>
    <xf borderId="4" fillId="3" fontId="3" numFmtId="0" xfId="0" applyAlignment="1" applyBorder="1" applyFont="1">
      <alignment horizontal="center" vertical="center"/>
    </xf>
    <xf borderId="4" fillId="7" fontId="3" numFmtId="165" xfId="0" applyAlignment="1" applyBorder="1" applyFont="1" applyNumberFormat="1">
      <alignment horizontal="right" vertical="center"/>
    </xf>
    <xf borderId="4" fillId="7" fontId="3" numFmtId="167" xfId="0" applyAlignment="1" applyBorder="1" applyFont="1" applyNumberFormat="1">
      <alignment horizontal="right" vertical="center"/>
    </xf>
    <xf borderId="11" fillId="7" fontId="3" numFmtId="165" xfId="0" applyAlignment="1" applyBorder="1" applyFont="1" applyNumberFormat="1">
      <alignment horizontal="right" vertical="center"/>
    </xf>
    <xf borderId="4" fillId="0" fontId="3" numFmtId="166" xfId="0" applyAlignment="1" applyBorder="1" applyFont="1" applyNumberFormat="1">
      <alignment horizontal="right" vertical="center"/>
    </xf>
    <xf borderId="4" fillId="0" fontId="5" numFmtId="166" xfId="0" applyAlignment="1" applyBorder="1" applyFont="1" applyNumberFormat="1">
      <alignment horizontal="right" vertical="center"/>
    </xf>
    <xf borderId="10" fillId="2" fontId="3" numFmtId="166" xfId="0" applyAlignment="1" applyBorder="1" applyFont="1" applyNumberFormat="1">
      <alignment horizontal="right" vertical="center"/>
    </xf>
    <xf borderId="4" fillId="0" fontId="3" numFmtId="0" xfId="0" applyAlignment="1" applyBorder="1" applyFont="1">
      <alignment horizontal="left" vertical="center"/>
    </xf>
    <xf borderId="4" fillId="0" fontId="5" numFmtId="3" xfId="0" applyAlignment="1" applyBorder="1" applyFont="1" applyNumberFormat="1">
      <alignment horizontal="right" vertical="center"/>
    </xf>
    <xf borderId="4" fillId="0" fontId="3" numFmtId="0" xfId="0" applyAlignment="1" applyBorder="1" applyFont="1">
      <alignment horizontal="center" vertical="center"/>
    </xf>
    <xf borderId="4" fillId="0" fontId="5" numFmtId="2" xfId="0" applyAlignment="1" applyBorder="1" applyFont="1" applyNumberFormat="1">
      <alignment horizontal="right" vertical="center"/>
    </xf>
    <xf borderId="4" fillId="0" fontId="2" numFmtId="0" xfId="0" applyAlignment="1" applyBorder="1" applyFont="1">
      <alignment horizontal="center" readingOrder="0" vertical="center"/>
    </xf>
    <xf borderId="10" fillId="2" fontId="3" numFmtId="165" xfId="0" applyAlignment="1" applyBorder="1" applyFont="1" applyNumberFormat="1">
      <alignment horizontal="right" vertical="center"/>
    </xf>
    <xf borderId="4" fillId="0" fontId="3" numFmtId="0" xfId="0" applyBorder="1" applyFont="1"/>
    <xf borderId="4" fillId="0" fontId="5" numFmtId="0" xfId="0" applyBorder="1" applyFont="1"/>
    <xf borderId="4" fillId="0" fontId="3" numFmtId="165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5 Yıllık Finansal Büyüme Projeksiyonu (USD)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Grafikler!$A$5</c:f>
            </c:strRef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Grafikler!$B$5:$F$5</c:f>
            </c:strRef>
          </c:cat>
          <c:val>
            <c:numRef>
              <c:f>Grafikler!$B$5:$F$5</c:f>
              <c:numCache/>
            </c:numRef>
          </c:val>
        </c:ser>
        <c:ser>
          <c:idx val="1"/>
          <c:order val="1"/>
          <c:tx>
            <c:strRef>
              <c:f>Grafikler!$A$6</c:f>
            </c:strRef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Grafikler!$B$5:$F$5</c:f>
            </c:strRef>
          </c:cat>
          <c:val>
            <c:numRef>
              <c:f>Grafikler!$B$6:$F$6</c:f>
              <c:numCache/>
            </c:numRef>
          </c:val>
        </c:ser>
        <c:ser>
          <c:idx val="2"/>
          <c:order val="2"/>
          <c:tx>
            <c:strRef>
              <c:f>Grafikler!$A$7</c:f>
            </c:strRef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Grafikler!$B$5:$F$5</c:f>
            </c:strRef>
          </c:cat>
          <c:val>
            <c:numRef>
              <c:f>Grafikler!$B$7:$F$7</c:f>
              <c:numCache/>
            </c:numRef>
          </c:val>
        </c:ser>
        <c:ser>
          <c:idx val="3"/>
          <c:order val="3"/>
          <c:tx>
            <c:strRef>
              <c:f>Grafikler!$A$8</c:f>
            </c:strRef>
          </c:tx>
          <c:cat>
            <c:strRef>
              <c:f>Grafikler!$B$5:$F$5</c:f>
            </c:strRef>
          </c:cat>
          <c:val>
            <c:numRef>
              <c:f>Grafikler!$B$8:$F$8</c:f>
              <c:numCache/>
            </c:numRef>
          </c:val>
        </c:ser>
        <c:axId val="1490748748"/>
        <c:axId val="798966151"/>
      </c:barChart>
      <c:catAx>
        <c:axId val="14907487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Yıl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98966151"/>
      </c:catAx>
      <c:valAx>
        <c:axId val="79896615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USD ($)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9074874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Talep Edilen 250.000 $'lık Yatırımın Kullanım Dağılımı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Grafikler!$I$5</c:f>
            </c:strRef>
          </c:tx>
          <c:dPt>
            <c:idx val="0"/>
            <c:spPr>
              <a:solidFill>
                <a:srgbClr val="4F81BD"/>
              </a:solidFill>
            </c:spPr>
          </c:dPt>
          <c:dPt>
            <c:idx val="1"/>
            <c:spPr>
              <a:solidFill>
                <a:srgbClr val="C0504D"/>
              </a:solidFill>
            </c:spPr>
          </c:dPt>
          <c:dPt>
            <c:idx val="2"/>
            <c:spPr>
              <a:solidFill>
                <a:srgbClr val="9BBB59"/>
              </a:solidFill>
            </c:spPr>
          </c:dPt>
          <c:dPt>
            <c:idx val="3"/>
            <c:spPr>
              <a:solidFill>
                <a:srgbClr val="8064A2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Grafikler!$H$6:$H$9</c:f>
            </c:strRef>
          </c:cat>
          <c:val>
            <c:numRef>
              <c:f>Grafikler!$I$6:$I$9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10</xdr:row>
      <xdr:rowOff>0</xdr:rowOff>
    </xdr:from>
    <xdr:ext cx="6477000" cy="4314825"/>
    <xdr:graphicFrame>
      <xdr:nvGraphicFramePr>
        <xdr:cNvPr id="81693905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7</xdr:col>
      <xdr:colOff>0</xdr:colOff>
      <xdr:row>10</xdr:row>
      <xdr:rowOff>0</xdr:rowOff>
    </xdr:from>
    <xdr:ext cx="5038725" cy="3590925"/>
    <xdr:graphicFrame>
      <xdr:nvGraphicFramePr>
        <xdr:cNvPr id="29252907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5" width="25.0"/>
    <col customWidth="1" min="6" max="26" width="8.71"/>
  </cols>
  <sheetData>
    <row r="2">
      <c r="A2" s="1" t="s">
        <v>1</v>
      </c>
    </row>
    <row r="3">
      <c r="A3" s="2" t="s">
        <v>2</v>
      </c>
    </row>
    <row r="5">
      <c r="A5" s="4" t="s">
        <v>4</v>
      </c>
      <c r="B5" s="4" t="s">
        <v>7</v>
      </c>
      <c r="C5" s="4" t="s">
        <v>9</v>
      </c>
      <c r="D5" s="4" t="s">
        <v>12</v>
      </c>
      <c r="E5" s="4" t="s">
        <v>15</v>
      </c>
    </row>
    <row r="6">
      <c r="A6" s="7" t="s">
        <v>17</v>
      </c>
      <c r="B6" s="7" t="s">
        <v>19</v>
      </c>
      <c r="C6" s="10" t="s">
        <v>21</v>
      </c>
      <c r="D6" s="10" t="s">
        <v>24</v>
      </c>
      <c r="E6" s="19" t="str">
        <f>HYPERLINK("#Icindekiler!A1", "Git →")</f>
        <v>Git →</v>
      </c>
    </row>
    <row r="7">
      <c r="A7" s="21" t="s">
        <v>39</v>
      </c>
      <c r="B7" s="21" t="s">
        <v>41</v>
      </c>
      <c r="C7" s="22" t="s">
        <v>42</v>
      </c>
      <c r="D7" s="22" t="s">
        <v>44</v>
      </c>
      <c r="E7" s="24" t="str">
        <f>HYPERLINK("#Varsayimlar!A1", "Git →")</f>
        <v>Git →</v>
      </c>
    </row>
    <row r="8">
      <c r="A8" s="7" t="s">
        <v>57</v>
      </c>
      <c r="B8" s="7" t="s">
        <v>58</v>
      </c>
      <c r="C8" s="10" t="s">
        <v>59</v>
      </c>
      <c r="D8" s="10" t="s">
        <v>61</v>
      </c>
      <c r="E8" s="19" t="str">
        <f>HYPERLINK("#Projeksiyonlar!A1", "Git →")</f>
        <v>Git →</v>
      </c>
    </row>
    <row r="9">
      <c r="A9" s="21" t="s">
        <v>62</v>
      </c>
      <c r="B9" s="21" t="s">
        <v>64</v>
      </c>
      <c r="C9" s="22" t="s">
        <v>65</v>
      </c>
      <c r="D9" s="22" t="s">
        <v>66</v>
      </c>
      <c r="E9" s="24" t="str">
        <f>HYPERLINK("#Degerleme_ve_Yatirim!A1", "Git →")</f>
        <v>Git →</v>
      </c>
    </row>
    <row r="10">
      <c r="A10" s="7" t="s">
        <v>70</v>
      </c>
      <c r="B10" s="7" t="s">
        <v>71</v>
      </c>
      <c r="C10" s="10" t="s">
        <v>72</v>
      </c>
      <c r="D10" s="10" t="s">
        <v>73</v>
      </c>
      <c r="E10" s="19" t="str">
        <f>HYPERLINK("#Grafikler!A1", "Git →")</f>
        <v>Git →</v>
      </c>
    </row>
    <row r="11">
      <c r="A11" s="21" t="s">
        <v>74</v>
      </c>
      <c r="B11" s="21" t="s">
        <v>75</v>
      </c>
      <c r="C11" s="22" t="s">
        <v>76</v>
      </c>
      <c r="D11" s="22" t="s">
        <v>77</v>
      </c>
      <c r="E11" s="24" t="str">
        <f>HYPERLINK("#Kontroller!A1", "Git →")</f>
        <v>Git →</v>
      </c>
    </row>
    <row r="14">
      <c r="A14" s="27" t="s">
        <v>78</v>
      </c>
    </row>
    <row r="16">
      <c r="A16" s="29" t="s">
        <v>79</v>
      </c>
      <c r="B16" s="31" t="s">
        <v>80</v>
      </c>
      <c r="C16" s="14"/>
      <c r="D16" s="15"/>
    </row>
    <row r="17">
      <c r="A17" s="32" t="s">
        <v>82</v>
      </c>
      <c r="B17" s="31" t="s">
        <v>83</v>
      </c>
      <c r="C17" s="14"/>
      <c r="D17" s="15"/>
    </row>
    <row r="18">
      <c r="A18" s="35" t="s">
        <v>86</v>
      </c>
      <c r="B18" s="31" t="s">
        <v>87</v>
      </c>
      <c r="C18" s="14"/>
      <c r="D18" s="15"/>
    </row>
    <row r="19">
      <c r="A19" s="37" t="s">
        <v>88</v>
      </c>
      <c r="B19" s="31" t="s">
        <v>90</v>
      </c>
      <c r="C19" s="14"/>
      <c r="D19" s="1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6:D16"/>
    <mergeCell ref="B17:D17"/>
    <mergeCell ref="B18:D18"/>
    <mergeCell ref="B19:D19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7" width="25.0"/>
    <col customWidth="1" min="8" max="26" width="8.71"/>
  </cols>
  <sheetData>
    <row r="2">
      <c r="A2" s="1" t="s">
        <v>0</v>
      </c>
    </row>
    <row r="4">
      <c r="A4" s="3" t="s">
        <v>3</v>
      </c>
      <c r="B4" s="5">
        <v>1.0</v>
      </c>
      <c r="C4" s="2" t="s">
        <v>10</v>
      </c>
    </row>
    <row r="6">
      <c r="A6" s="6" t="s">
        <v>13</v>
      </c>
      <c r="B6" s="8"/>
      <c r="C6" s="9"/>
    </row>
    <row r="7">
      <c r="A7" s="11" t="s">
        <v>22</v>
      </c>
      <c r="B7" s="12">
        <v>34.0</v>
      </c>
    </row>
    <row r="8">
      <c r="A8" s="11" t="s">
        <v>26</v>
      </c>
      <c r="B8" s="16">
        <v>6100000.0</v>
      </c>
    </row>
    <row r="9">
      <c r="A9" s="11" t="s">
        <v>28</v>
      </c>
      <c r="B9" s="17">
        <v>0.15</v>
      </c>
    </row>
    <row r="10">
      <c r="A10" s="11" t="s">
        <v>32</v>
      </c>
      <c r="B10" s="17">
        <v>0.02</v>
      </c>
    </row>
    <row r="11">
      <c r="A11" s="11" t="s">
        <v>33</v>
      </c>
      <c r="B11" s="12">
        <v>230000.0</v>
      </c>
    </row>
    <row r="12">
      <c r="A12" s="11" t="s">
        <v>34</v>
      </c>
      <c r="B12" s="17">
        <v>0.05</v>
      </c>
    </row>
    <row r="13">
      <c r="A13" s="11" t="s">
        <v>36</v>
      </c>
      <c r="B13" s="20">
        <v>250000.0</v>
      </c>
    </row>
    <row r="14">
      <c r="A14" s="11" t="s">
        <v>38</v>
      </c>
      <c r="B14" s="17">
        <v>0.25</v>
      </c>
    </row>
    <row r="16">
      <c r="A16" s="6" t="s">
        <v>40</v>
      </c>
      <c r="B16" s="8"/>
      <c r="C16" s="9"/>
    </row>
    <row r="17">
      <c r="A17" s="11" t="s">
        <v>43</v>
      </c>
      <c r="B17" s="17">
        <v>0.6</v>
      </c>
    </row>
    <row r="18">
      <c r="A18" s="11" t="s">
        <v>45</v>
      </c>
      <c r="B18" s="17">
        <v>0.2</v>
      </c>
    </row>
    <row r="19">
      <c r="A19" s="11" t="s">
        <v>46</v>
      </c>
      <c r="B19" s="17">
        <v>0.1</v>
      </c>
    </row>
    <row r="20">
      <c r="A20" s="11" t="s">
        <v>47</v>
      </c>
      <c r="B20" s="17">
        <v>0.1</v>
      </c>
    </row>
    <row r="21" ht="15.75" customHeight="1"/>
    <row r="22" ht="15.75" customHeight="1"/>
    <row r="23" ht="15.75" customHeight="1">
      <c r="A23" s="6" t="s">
        <v>48</v>
      </c>
      <c r="B23" s="8"/>
      <c r="C23" s="8"/>
      <c r="D23" s="8"/>
      <c r="E23" s="8"/>
      <c r="F23" s="8"/>
      <c r="G23" s="9"/>
    </row>
    <row r="24" ht="15.75" customHeight="1">
      <c r="A24" s="4" t="s">
        <v>49</v>
      </c>
      <c r="B24" s="4" t="s">
        <v>50</v>
      </c>
      <c r="C24" s="4" t="s">
        <v>51</v>
      </c>
      <c r="D24" s="4" t="s">
        <v>52</v>
      </c>
      <c r="E24" s="4" t="s">
        <v>53</v>
      </c>
      <c r="F24" s="4" t="s">
        <v>54</v>
      </c>
      <c r="G24" s="4" t="s">
        <v>55</v>
      </c>
    </row>
    <row r="25" ht="15.75" customHeight="1">
      <c r="A25" s="7">
        <v>1.0</v>
      </c>
      <c r="B25" s="10" t="s">
        <v>56</v>
      </c>
      <c r="C25" s="25">
        <v>230.0</v>
      </c>
      <c r="D25" s="25">
        <v>750.0</v>
      </c>
      <c r="E25" s="25">
        <v>2200.0</v>
      </c>
      <c r="F25" s="25">
        <v>5500.0</v>
      </c>
      <c r="G25" s="25">
        <v>11000.0</v>
      </c>
    </row>
    <row r="26" ht="15.75" customHeight="1">
      <c r="A26" s="7">
        <v>2.0</v>
      </c>
      <c r="B26" s="10" t="s">
        <v>60</v>
      </c>
      <c r="C26" s="25">
        <v>350.0</v>
      </c>
      <c r="D26" s="25">
        <v>1200.0</v>
      </c>
      <c r="E26" s="25">
        <v>3500.0</v>
      </c>
      <c r="F26" s="25">
        <v>8000.0</v>
      </c>
      <c r="G26" s="25">
        <v>15000.0</v>
      </c>
    </row>
    <row r="27" ht="15.75" customHeight="1">
      <c r="A27" s="7">
        <v>3.0</v>
      </c>
      <c r="B27" s="10" t="s">
        <v>63</v>
      </c>
      <c r="C27" s="25">
        <v>120.0</v>
      </c>
      <c r="D27" s="25">
        <v>400.0</v>
      </c>
      <c r="E27" s="25">
        <v>1000.0</v>
      </c>
      <c r="F27" s="25">
        <v>2500.0</v>
      </c>
      <c r="G27" s="25">
        <v>5000.0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6:C6"/>
    <mergeCell ref="A16:C16"/>
    <mergeCell ref="A23:G23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45.0"/>
    <col customWidth="1" min="2" max="2" width="28.0"/>
    <col customWidth="1" min="3" max="7" width="20.0"/>
    <col customWidth="1" min="8" max="26" width="8.71"/>
  </cols>
  <sheetData>
    <row r="2">
      <c r="A2" s="1" t="s">
        <v>5</v>
      </c>
    </row>
    <row r="4">
      <c r="A4" s="4" t="s">
        <v>6</v>
      </c>
      <c r="B4" s="4" t="s">
        <v>8</v>
      </c>
      <c r="C4" s="4" t="s">
        <v>11</v>
      </c>
      <c r="D4" s="4" t="s">
        <v>14</v>
      </c>
      <c r="E4" s="4" t="s">
        <v>16</v>
      </c>
      <c r="F4" s="4" t="s">
        <v>18</v>
      </c>
      <c r="G4" s="4" t="s">
        <v>20</v>
      </c>
    </row>
    <row r="5">
      <c r="A5" s="13" t="s">
        <v>23</v>
      </c>
      <c r="B5" s="14"/>
      <c r="C5" s="14"/>
      <c r="D5" s="14"/>
      <c r="E5" s="14"/>
      <c r="F5" s="14"/>
      <c r="G5" s="15"/>
    </row>
    <row r="6">
      <c r="A6" s="10" t="s">
        <v>29</v>
      </c>
      <c r="B6" s="18" t="s">
        <v>30</v>
      </c>
      <c r="C6" s="23">
        <f t="array" ref="C6">INDEX(Varsayimlar!$C$25:$G$27, Varsayimlar!$B$4, 1)</f>
        <v>230</v>
      </c>
      <c r="D6" s="23">
        <f t="array" ref="D6">INDEX(Varsayimlar!$C$25:$G$27, Varsayimlar!$B$4, 2)</f>
        <v>750</v>
      </c>
      <c r="E6" s="23">
        <f t="array" ref="E6">INDEX(Varsayimlar!$C$25:$G$27, Varsayimlar!$B$4, 3)</f>
        <v>2200</v>
      </c>
      <c r="F6" s="23">
        <f t="array" ref="F6">INDEX(Varsayimlar!$C$25:$G$27, Varsayimlar!$B$4, 4)</f>
        <v>5500</v>
      </c>
      <c r="G6" s="23">
        <f t="array" ref="G6">INDEX(Varsayimlar!$C$25:$G$27, Varsayimlar!$B$4, 5)</f>
        <v>11000</v>
      </c>
    </row>
    <row r="7">
      <c r="A7" s="10" t="s">
        <v>67</v>
      </c>
      <c r="B7" s="18" t="s">
        <v>68</v>
      </c>
      <c r="C7" s="28">
        <f>Varsayimlar!$B$8</f>
        <v>6100000</v>
      </c>
      <c r="D7" s="28">
        <f>C7*(1+Varsayimlar!$B$9)</f>
        <v>7015000</v>
      </c>
      <c r="E7" s="28">
        <f>D7*(1+Varsayimlar!$B$9)</f>
        <v>8067250</v>
      </c>
      <c r="F7" s="28">
        <f>E7*(1+Varsayimlar!$B$9)</f>
        <v>9277337.5</v>
      </c>
      <c r="G7" s="28">
        <f>F7*(1+Varsayimlar!$B$9)</f>
        <v>10668938.13</v>
      </c>
    </row>
    <row r="8">
      <c r="A8" s="33" t="s">
        <v>84</v>
      </c>
      <c r="B8" s="34" t="s">
        <v>85</v>
      </c>
      <c r="C8" s="36">
        <f t="shared" ref="C8:G8" si="1">C6*C7</f>
        <v>1403000000</v>
      </c>
      <c r="D8" s="36">
        <f t="shared" si="1"/>
        <v>5261250000</v>
      </c>
      <c r="E8" s="36">
        <f t="shared" si="1"/>
        <v>17747950000</v>
      </c>
      <c r="F8" s="36">
        <f t="shared" si="1"/>
        <v>51025356250</v>
      </c>
      <c r="G8" s="36">
        <f t="shared" si="1"/>
        <v>117358319375</v>
      </c>
    </row>
    <row r="9">
      <c r="A9" s="13" t="s">
        <v>91</v>
      </c>
      <c r="B9" s="14"/>
      <c r="C9" s="14"/>
      <c r="D9" s="14"/>
      <c r="E9" s="14"/>
      <c r="F9" s="14"/>
      <c r="G9" s="15"/>
    </row>
    <row r="10">
      <c r="A10" s="10" t="s">
        <v>93</v>
      </c>
      <c r="B10" s="18" t="s">
        <v>94</v>
      </c>
      <c r="C10" s="28">
        <f>C8*Varsayimlar!$B$10</f>
        <v>28060000</v>
      </c>
      <c r="D10" s="28">
        <f>D8*Varsayimlar!$B$10</f>
        <v>105225000</v>
      </c>
      <c r="E10" s="28">
        <f>E8*Varsayimlar!$B$10</f>
        <v>354959000</v>
      </c>
      <c r="F10" s="28">
        <f>F8*Varsayimlar!$B$10</f>
        <v>1020507125</v>
      </c>
      <c r="G10" s="28">
        <f>G8*Varsayimlar!$B$10</f>
        <v>2347166388</v>
      </c>
    </row>
    <row r="11">
      <c r="A11" s="10" t="s">
        <v>97</v>
      </c>
      <c r="B11" s="18" t="s">
        <v>98</v>
      </c>
      <c r="C11" s="28">
        <f t="shared" ref="C11:G11" si="2">C10*0.15</f>
        <v>4209000</v>
      </c>
      <c r="D11" s="28">
        <f t="shared" si="2"/>
        <v>15783750</v>
      </c>
      <c r="E11" s="28">
        <f t="shared" si="2"/>
        <v>53243850</v>
      </c>
      <c r="F11" s="28">
        <f t="shared" si="2"/>
        <v>153076068.8</v>
      </c>
      <c r="G11" s="28">
        <f t="shared" si="2"/>
        <v>352074958.1</v>
      </c>
    </row>
    <row r="12">
      <c r="A12" s="10" t="s">
        <v>102</v>
      </c>
      <c r="B12" s="18" t="s">
        <v>103</v>
      </c>
      <c r="C12" s="28">
        <f t="shared" ref="C12:G12" si="3">C10*0.1</f>
        <v>2806000</v>
      </c>
      <c r="D12" s="28">
        <f t="shared" si="3"/>
        <v>10522500</v>
      </c>
      <c r="E12" s="28">
        <f t="shared" si="3"/>
        <v>35495900</v>
      </c>
      <c r="F12" s="28">
        <f t="shared" si="3"/>
        <v>102050712.5</v>
      </c>
      <c r="G12" s="28">
        <f t="shared" si="3"/>
        <v>234716638.8</v>
      </c>
    </row>
    <row r="13">
      <c r="A13" s="10" t="s">
        <v>105</v>
      </c>
      <c r="B13" s="18" t="s">
        <v>106</v>
      </c>
      <c r="C13" s="28">
        <f t="shared" ref="C13:G13" si="4">C10*0.05</f>
        <v>1403000</v>
      </c>
      <c r="D13" s="28">
        <f t="shared" si="4"/>
        <v>5261250</v>
      </c>
      <c r="E13" s="28">
        <f t="shared" si="4"/>
        <v>17747950</v>
      </c>
      <c r="F13" s="28">
        <f t="shared" si="4"/>
        <v>51025356.25</v>
      </c>
      <c r="G13" s="28">
        <f t="shared" si="4"/>
        <v>117358319.4</v>
      </c>
    </row>
    <row r="14">
      <c r="A14" s="33" t="s">
        <v>107</v>
      </c>
      <c r="B14" s="34" t="s">
        <v>108</v>
      </c>
      <c r="C14" s="36">
        <f t="shared" ref="C14:G14" si="5">SUM(C10:C13)</f>
        <v>36478000</v>
      </c>
      <c r="D14" s="36">
        <f t="shared" si="5"/>
        <v>136792500</v>
      </c>
      <c r="E14" s="36">
        <f t="shared" si="5"/>
        <v>461446700</v>
      </c>
      <c r="F14" s="36">
        <f t="shared" si="5"/>
        <v>1326659263</v>
      </c>
      <c r="G14" s="36">
        <f t="shared" si="5"/>
        <v>3051316304</v>
      </c>
    </row>
    <row r="15">
      <c r="A15" s="33" t="s">
        <v>109</v>
      </c>
      <c r="B15" s="34" t="s">
        <v>110</v>
      </c>
      <c r="C15" s="43">
        <f>C14/Varsayimlar!$B$7</f>
        <v>1072882.353</v>
      </c>
      <c r="D15" s="43">
        <f>D14/Varsayimlar!$B$7</f>
        <v>4023308.824</v>
      </c>
      <c r="E15" s="43">
        <f>E14/Varsayimlar!$B$7</f>
        <v>13571961.76</v>
      </c>
      <c r="F15" s="43">
        <f>F14/Varsayimlar!$B$7</f>
        <v>39019390.07</v>
      </c>
      <c r="G15" s="43">
        <f>G14/Varsayimlar!$B$7</f>
        <v>89744597.17</v>
      </c>
    </row>
    <row r="16">
      <c r="A16" s="13" t="s">
        <v>116</v>
      </c>
      <c r="B16" s="14"/>
      <c r="C16" s="14"/>
      <c r="D16" s="14"/>
      <c r="E16" s="14"/>
      <c r="F16" s="14"/>
      <c r="G16" s="15"/>
    </row>
    <row r="17">
      <c r="A17" s="10" t="s">
        <v>121</v>
      </c>
      <c r="B17" s="18" t="s">
        <v>122</v>
      </c>
      <c r="C17" s="28">
        <f t="shared" ref="C17:G17" si="6">C10*0.15</f>
        <v>4209000</v>
      </c>
      <c r="D17" s="28">
        <f t="shared" si="6"/>
        <v>15783750</v>
      </c>
      <c r="E17" s="28">
        <f t="shared" si="6"/>
        <v>53243850</v>
      </c>
      <c r="F17" s="28">
        <f t="shared" si="6"/>
        <v>153076068.8</v>
      </c>
      <c r="G17" s="28">
        <f t="shared" si="6"/>
        <v>352074958.1</v>
      </c>
    </row>
    <row r="18">
      <c r="A18" s="10" t="s">
        <v>124</v>
      </c>
      <c r="B18" s="18" t="s">
        <v>125</v>
      </c>
      <c r="C18" s="28">
        <f>Varsayimlar!$B$13*Varsayimlar!$B$17*Varsayimlar!$B$7</f>
        <v>5100000</v>
      </c>
      <c r="D18" s="28">
        <f t="shared" ref="D18:G18" si="7">D14*0.15</f>
        <v>20518875</v>
      </c>
      <c r="E18" s="28">
        <f t="shared" si="7"/>
        <v>69217005</v>
      </c>
      <c r="F18" s="28">
        <f t="shared" si="7"/>
        <v>198998889.4</v>
      </c>
      <c r="G18" s="28">
        <f t="shared" si="7"/>
        <v>457697445.6</v>
      </c>
    </row>
    <row r="19">
      <c r="A19" s="10" t="s">
        <v>127</v>
      </c>
      <c r="B19" s="18" t="s">
        <v>128</v>
      </c>
      <c r="C19" s="28">
        <f>Varsayimlar!$B$13*Varsayimlar!$B$19*Varsayimlar!$B$7</f>
        <v>850000</v>
      </c>
      <c r="D19" s="28">
        <f t="shared" ref="D19:G19" si="8">C19*1.15</f>
        <v>977500</v>
      </c>
      <c r="E19" s="28">
        <f t="shared" si="8"/>
        <v>1124125</v>
      </c>
      <c r="F19" s="28">
        <f t="shared" si="8"/>
        <v>1292743.75</v>
      </c>
      <c r="G19" s="28">
        <f t="shared" si="8"/>
        <v>1486655.313</v>
      </c>
    </row>
    <row r="20">
      <c r="A20" s="10" t="s">
        <v>130</v>
      </c>
      <c r="B20" s="18" t="s">
        <v>131</v>
      </c>
      <c r="C20" s="28">
        <f>Varsayimlar!$B$13*Varsayimlar!$B$18*Varsayimlar!$B$7</f>
        <v>1700000</v>
      </c>
      <c r="D20" s="28">
        <f t="shared" ref="D20:G20" si="9">C20*1.1</f>
        <v>1870000</v>
      </c>
      <c r="E20" s="28">
        <f t="shared" si="9"/>
        <v>2057000</v>
      </c>
      <c r="F20" s="28">
        <f t="shared" si="9"/>
        <v>2262700</v>
      </c>
      <c r="G20" s="28">
        <f t="shared" si="9"/>
        <v>2488970</v>
      </c>
    </row>
    <row r="21" ht="15.75" customHeight="1">
      <c r="A21" s="10" t="s">
        <v>133</v>
      </c>
      <c r="B21" s="48" t="s">
        <v>134</v>
      </c>
      <c r="C21" s="28">
        <v>2100000.0</v>
      </c>
      <c r="D21" s="28">
        <v>3840000.0</v>
      </c>
      <c r="E21" s="28">
        <v>6912000.0</v>
      </c>
      <c r="F21" s="28">
        <v>1.2528E7</v>
      </c>
      <c r="G21" s="28">
        <v>2.1E7</v>
      </c>
    </row>
    <row r="22" ht="15.75" customHeight="1">
      <c r="A22" s="10" t="s">
        <v>135</v>
      </c>
      <c r="B22" s="18" t="s">
        <v>136</v>
      </c>
      <c r="C22" s="28">
        <f>Varsayimlar!$B$13*Varsayimlar!$B$20*Varsayimlar!$B$7</f>
        <v>850000</v>
      </c>
      <c r="D22" s="28">
        <f t="shared" ref="D22:G22" si="10">C22*1.1</f>
        <v>935000</v>
      </c>
      <c r="E22" s="28">
        <f t="shared" si="10"/>
        <v>1028500</v>
      </c>
      <c r="F22" s="28">
        <f t="shared" si="10"/>
        <v>1131350</v>
      </c>
      <c r="G22" s="28">
        <f t="shared" si="10"/>
        <v>1244485</v>
      </c>
    </row>
    <row r="23" ht="15.75" customHeight="1">
      <c r="A23" s="33" t="s">
        <v>137</v>
      </c>
      <c r="B23" s="34" t="s">
        <v>138</v>
      </c>
      <c r="C23" s="36">
        <f t="shared" ref="C23:G23" si="11">SUM(C17:C22)</f>
        <v>14809000</v>
      </c>
      <c r="D23" s="36">
        <f t="shared" si="11"/>
        <v>43925125</v>
      </c>
      <c r="E23" s="36">
        <f t="shared" si="11"/>
        <v>133582480</v>
      </c>
      <c r="F23" s="36">
        <f t="shared" si="11"/>
        <v>369289751.9</v>
      </c>
      <c r="G23" s="36">
        <f t="shared" si="11"/>
        <v>835992514</v>
      </c>
    </row>
    <row r="24" ht="15.75" customHeight="1">
      <c r="A24" s="33" t="s">
        <v>139</v>
      </c>
      <c r="B24" s="34" t="s">
        <v>140</v>
      </c>
      <c r="C24" s="43">
        <f>C23/Varsayimlar!$B$7</f>
        <v>435558.8235</v>
      </c>
      <c r="D24" s="43">
        <f>D23/Varsayimlar!$B$7</f>
        <v>1291915.441</v>
      </c>
      <c r="E24" s="43">
        <f>E23/Varsayimlar!$B$7</f>
        <v>3928896.471</v>
      </c>
      <c r="F24" s="43">
        <f>F23/Varsayimlar!$B$7</f>
        <v>10861463.29</v>
      </c>
      <c r="G24" s="43">
        <f>G23/Varsayimlar!$B$7</f>
        <v>24588015.12</v>
      </c>
    </row>
    <row r="25" ht="15.75" customHeight="1">
      <c r="A25" s="13" t="s">
        <v>141</v>
      </c>
      <c r="B25" s="14"/>
      <c r="C25" s="14"/>
      <c r="D25" s="14"/>
      <c r="E25" s="14"/>
      <c r="F25" s="14"/>
      <c r="G25" s="15"/>
    </row>
    <row r="26" ht="15.75" customHeight="1">
      <c r="A26" s="33" t="s">
        <v>142</v>
      </c>
      <c r="B26" s="34" t="s">
        <v>143</v>
      </c>
      <c r="C26" s="36">
        <f t="shared" ref="C26:G26" si="12">C14-C23</f>
        <v>21669000</v>
      </c>
      <c r="D26" s="36">
        <f t="shared" si="12"/>
        <v>92867375</v>
      </c>
      <c r="E26" s="36">
        <f t="shared" si="12"/>
        <v>327864220</v>
      </c>
      <c r="F26" s="36">
        <f t="shared" si="12"/>
        <v>957369510.6</v>
      </c>
      <c r="G26" s="36">
        <f t="shared" si="12"/>
        <v>2215323790</v>
      </c>
    </row>
    <row r="27" ht="15.75" customHeight="1">
      <c r="A27" s="33" t="s">
        <v>144</v>
      </c>
      <c r="B27" s="34" t="s">
        <v>145</v>
      </c>
      <c r="C27" s="43">
        <f>C26/Varsayimlar!$B$7</f>
        <v>637323.5294</v>
      </c>
      <c r="D27" s="43">
        <f>D26/Varsayimlar!$B$7</f>
        <v>2731393.382</v>
      </c>
      <c r="E27" s="43">
        <f>E26/Varsayimlar!$B$7</f>
        <v>9643065.294</v>
      </c>
      <c r="F27" s="43">
        <f>F26/Varsayimlar!$B$7</f>
        <v>28157926.78</v>
      </c>
      <c r="G27" s="43">
        <f>G26/Varsayimlar!$B$7</f>
        <v>65156582.05</v>
      </c>
    </row>
    <row r="28" ht="15.75" customHeight="1">
      <c r="A28" s="33" t="s">
        <v>146</v>
      </c>
      <c r="B28" s="34" t="s">
        <v>147</v>
      </c>
      <c r="C28" s="49">
        <f t="shared" ref="C28:G28" si="13">IFERROR(C26/C14, 0)</f>
        <v>0.5940292779</v>
      </c>
      <c r="D28" s="49">
        <f t="shared" si="13"/>
        <v>0.6788923004</v>
      </c>
      <c r="E28" s="49">
        <f t="shared" si="13"/>
        <v>0.7105137386</v>
      </c>
      <c r="F28" s="49">
        <f t="shared" si="13"/>
        <v>0.721639337</v>
      </c>
      <c r="G28" s="49">
        <f t="shared" si="13"/>
        <v>0.7260223357</v>
      </c>
    </row>
    <row r="29" ht="15.75" customHeight="1">
      <c r="A29" s="10" t="s">
        <v>148</v>
      </c>
      <c r="B29" s="18" t="s">
        <v>149</v>
      </c>
      <c r="C29" s="28">
        <f t="shared" ref="C29:G29" si="14">C20/5</f>
        <v>340000</v>
      </c>
      <c r="D29" s="28">
        <f t="shared" si="14"/>
        <v>374000</v>
      </c>
      <c r="E29" s="28">
        <f t="shared" si="14"/>
        <v>411400</v>
      </c>
      <c r="F29" s="28">
        <f t="shared" si="14"/>
        <v>452540</v>
      </c>
      <c r="G29" s="28">
        <f t="shared" si="14"/>
        <v>497794</v>
      </c>
    </row>
    <row r="30" ht="15.75" customHeight="1">
      <c r="A30" s="10" t="s">
        <v>150</v>
      </c>
      <c r="B30" s="18" t="s">
        <v>151</v>
      </c>
      <c r="C30" s="28">
        <f t="shared" ref="C30:G30" si="15">IF((C26-C29)&gt;0, (C26-C29)*0.2, 0)</f>
        <v>4265800</v>
      </c>
      <c r="D30" s="28">
        <f t="shared" si="15"/>
        <v>18498675</v>
      </c>
      <c r="E30" s="28">
        <f t="shared" si="15"/>
        <v>65490564</v>
      </c>
      <c r="F30" s="28">
        <f t="shared" si="15"/>
        <v>191383394.1</v>
      </c>
      <c r="G30" s="28">
        <f t="shared" si="15"/>
        <v>442965199.2</v>
      </c>
    </row>
    <row r="31" ht="15.75" customHeight="1">
      <c r="A31" s="33" t="s">
        <v>152</v>
      </c>
      <c r="B31" s="34" t="s">
        <v>153</v>
      </c>
      <c r="C31" s="36">
        <f t="shared" ref="C31:G31" si="16">C26-C29-C30</f>
        <v>17063200</v>
      </c>
      <c r="D31" s="36">
        <f t="shared" si="16"/>
        <v>73994700</v>
      </c>
      <c r="E31" s="36">
        <f t="shared" si="16"/>
        <v>261962256</v>
      </c>
      <c r="F31" s="36">
        <f t="shared" si="16"/>
        <v>765533576.5</v>
      </c>
      <c r="G31" s="36">
        <f t="shared" si="16"/>
        <v>1771860797</v>
      </c>
    </row>
    <row r="32" ht="15.75" customHeight="1">
      <c r="A32" s="33" t="s">
        <v>154</v>
      </c>
      <c r="B32" s="34" t="s">
        <v>155</v>
      </c>
      <c r="C32" s="43">
        <f>C31/Varsayimlar!$B$7</f>
        <v>501858.8235</v>
      </c>
      <c r="D32" s="43">
        <f>D31/Varsayimlar!$B$7</f>
        <v>2176314.706</v>
      </c>
      <c r="E32" s="43">
        <f>E31/Varsayimlar!$B$7</f>
        <v>7704772.235</v>
      </c>
      <c r="F32" s="43">
        <f>F31/Varsayimlar!$B$7</f>
        <v>22515693.43</v>
      </c>
      <c r="G32" s="43">
        <f>G31/Varsayimlar!$B$7</f>
        <v>52113552.84</v>
      </c>
    </row>
    <row r="33" ht="15.75" customHeight="1">
      <c r="A33" s="44" t="s">
        <v>156</v>
      </c>
      <c r="B33" s="18" t="s">
        <v>157</v>
      </c>
      <c r="C33" s="38">
        <f t="shared" ref="C33:G33" si="17">IFERROR(C31/C14, 0)</f>
        <v>0.4677668732</v>
      </c>
      <c r="D33" s="38">
        <f t="shared" si="17"/>
        <v>0.5409265859</v>
      </c>
      <c r="E33" s="38">
        <f t="shared" si="17"/>
        <v>0.5676977558</v>
      </c>
      <c r="F33" s="38">
        <f t="shared" si="17"/>
        <v>0.5770385796</v>
      </c>
      <c r="G33" s="38">
        <f t="shared" si="17"/>
        <v>0.580687356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5:G5"/>
    <mergeCell ref="A9:G9"/>
    <mergeCell ref="A16:G16"/>
    <mergeCell ref="A25:G25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8.0"/>
    <col customWidth="1" min="2" max="2" width="20.0"/>
    <col customWidth="1" min="3" max="7" width="18.0"/>
    <col customWidth="1" min="8" max="26" width="8.71"/>
  </cols>
  <sheetData>
    <row r="2">
      <c r="A2" s="1" t="s">
        <v>25</v>
      </c>
    </row>
    <row r="4">
      <c r="A4" s="6" t="s">
        <v>27</v>
      </c>
      <c r="B4" s="8"/>
      <c r="C4" s="9"/>
    </row>
    <row r="5">
      <c r="A5" s="11" t="s">
        <v>31</v>
      </c>
      <c r="B5" s="12">
        <v>10.0</v>
      </c>
      <c r="C5" s="2" t="s">
        <v>35</v>
      </c>
    </row>
    <row r="6">
      <c r="A6" s="11" t="s">
        <v>37</v>
      </c>
      <c r="B6" s="26">
        <f>Projeksiyonlar!G27</f>
        <v>65156582.05</v>
      </c>
    </row>
    <row r="7">
      <c r="A7" s="27" t="s">
        <v>69</v>
      </c>
      <c r="B7" s="30">
        <f>B5*B6</f>
        <v>651565820.5</v>
      </c>
    </row>
    <row r="10">
      <c r="A10" s="6" t="s">
        <v>81</v>
      </c>
      <c r="B10" s="8"/>
      <c r="C10" s="9"/>
    </row>
    <row r="11">
      <c r="A11" s="11" t="s">
        <v>36</v>
      </c>
      <c r="B11" s="26">
        <f>Varsayimlar!$B$13</f>
        <v>250000</v>
      </c>
    </row>
    <row r="12">
      <c r="A12" s="11" t="s">
        <v>89</v>
      </c>
      <c r="B12" s="38">
        <f>Varsayimlar!$B$14</f>
        <v>0.25</v>
      </c>
    </row>
    <row r="13">
      <c r="A13" s="27" t="s">
        <v>92</v>
      </c>
      <c r="B13" s="30">
        <f>B7*B12</f>
        <v>162891455.1</v>
      </c>
    </row>
    <row r="14">
      <c r="A14" s="27" t="s">
        <v>95</v>
      </c>
      <c r="B14" s="39">
        <f>B13/B11</f>
        <v>651.5658205</v>
      </c>
    </row>
    <row r="15">
      <c r="A15" s="27" t="s">
        <v>96</v>
      </c>
      <c r="B15" s="40">
        <f>(B14)^(1/5)-1</f>
        <v>2.654194494</v>
      </c>
    </row>
    <row r="18">
      <c r="A18" s="6" t="s">
        <v>99</v>
      </c>
      <c r="B18" s="8"/>
      <c r="C18" s="8"/>
      <c r="D18" s="8"/>
      <c r="E18" s="8"/>
      <c r="F18" s="8"/>
      <c r="G18" s="9"/>
    </row>
    <row r="19">
      <c r="A19" s="4" t="s">
        <v>100</v>
      </c>
      <c r="B19" s="4" t="s">
        <v>101</v>
      </c>
      <c r="C19" s="4" t="s">
        <v>51</v>
      </c>
      <c r="D19" s="4" t="s">
        <v>52</v>
      </c>
      <c r="E19" s="4" t="s">
        <v>53</v>
      </c>
      <c r="F19" s="4" t="s">
        <v>54</v>
      </c>
      <c r="G19" s="4" t="s">
        <v>55</v>
      </c>
    </row>
    <row r="20">
      <c r="A20" s="11" t="s">
        <v>104</v>
      </c>
      <c r="B20" s="41">
        <f>-B11</f>
        <v>-250000</v>
      </c>
      <c r="C20" s="42">
        <f>Projeksiyonlar!C32*$B$12</f>
        <v>125464.7059</v>
      </c>
      <c r="D20" s="42">
        <f>Projeksiyonlar!D32*$B$12</f>
        <v>544078.6765</v>
      </c>
      <c r="E20" s="42">
        <f>Projeksiyonlar!E32*$B$12</f>
        <v>1926193.059</v>
      </c>
      <c r="F20" s="42">
        <f>Projeksiyonlar!F32*$B$12</f>
        <v>5628923.357</v>
      </c>
      <c r="G20" s="42">
        <f>Projeksiyonlar!G32*$B$12</f>
        <v>13028388.21</v>
      </c>
    </row>
    <row r="21" ht="15.75" customHeight="1">
      <c r="A21" s="27" t="s">
        <v>111</v>
      </c>
      <c r="B21" s="41">
        <f>B20</f>
        <v>-250000</v>
      </c>
      <c r="C21" s="41">
        <f t="shared" ref="C21:G21" si="1">B21+C20</f>
        <v>-124535.2941</v>
      </c>
      <c r="D21" s="41">
        <f t="shared" si="1"/>
        <v>419543.3824</v>
      </c>
      <c r="E21" s="41">
        <f t="shared" si="1"/>
        <v>2345736.441</v>
      </c>
      <c r="F21" s="41">
        <f t="shared" si="1"/>
        <v>7974659.798</v>
      </c>
      <c r="G21" s="41">
        <f t="shared" si="1"/>
        <v>21003048.01</v>
      </c>
    </row>
    <row r="22" ht="15.75" customHeight="1">
      <c r="A22" s="11" t="s">
        <v>120</v>
      </c>
      <c r="B22" s="18" t="s">
        <v>123</v>
      </c>
      <c r="C22" s="46" t="str">
        <f t="shared" ref="C22:G22" si="2">IF(AND(B21&lt;0, C21&gt;=0), "Geri Ödeme Sağlandı!", IF(C21&gt;=0, "Kârlı Dönem", "Devam Ediyor"))</f>
        <v>Devam Ediyor</v>
      </c>
      <c r="D22" s="46" t="str">
        <f t="shared" si="2"/>
        <v>Geri Ödeme Sağlandı!</v>
      </c>
      <c r="E22" s="46" t="str">
        <f t="shared" si="2"/>
        <v>Kârlı Dönem</v>
      </c>
      <c r="F22" s="46" t="str">
        <f t="shared" si="2"/>
        <v>Kârlı Dönem</v>
      </c>
      <c r="G22" s="46" t="str">
        <f t="shared" si="2"/>
        <v>Kârlı Dönem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4:C4"/>
    <mergeCell ref="A10:C10"/>
    <mergeCell ref="A18:G18"/>
  </mergeCell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5.0"/>
    <col customWidth="1" min="2" max="6" width="15.0"/>
    <col customWidth="1" min="7" max="7" width="8.71"/>
    <col customWidth="1" min="8" max="8" width="25.0"/>
    <col customWidth="1" min="9" max="9" width="15.0"/>
    <col customWidth="1" min="10" max="26" width="8.71"/>
  </cols>
  <sheetData>
    <row r="2">
      <c r="A2" s="1" t="s">
        <v>158</v>
      </c>
    </row>
    <row r="4">
      <c r="A4" s="6" t="s">
        <v>159</v>
      </c>
      <c r="B4" s="8"/>
      <c r="C4" s="8"/>
      <c r="D4" s="8"/>
      <c r="E4" s="8"/>
      <c r="F4" s="9"/>
      <c r="H4" s="6" t="s">
        <v>160</v>
      </c>
      <c r="I4" s="9"/>
    </row>
    <row r="5">
      <c r="A5" s="4" t="s">
        <v>100</v>
      </c>
      <c r="B5" s="4" t="s">
        <v>161</v>
      </c>
      <c r="C5" s="4" t="s">
        <v>162</v>
      </c>
      <c r="D5" s="4" t="s">
        <v>163</v>
      </c>
      <c r="E5" s="4" t="s">
        <v>164</v>
      </c>
      <c r="F5" s="4" t="s">
        <v>165</v>
      </c>
      <c r="H5" s="4" t="s">
        <v>166</v>
      </c>
      <c r="I5" s="4" t="s">
        <v>167</v>
      </c>
    </row>
    <row r="6">
      <c r="A6" s="50" t="s">
        <v>109</v>
      </c>
      <c r="B6" s="42">
        <f>Projeksiyonlar!C15</f>
        <v>1072882.353</v>
      </c>
      <c r="C6" s="42">
        <f>Projeksiyonlar!D15</f>
        <v>4023308.824</v>
      </c>
      <c r="D6" s="42">
        <f>Projeksiyonlar!E15</f>
        <v>13571961.76</v>
      </c>
      <c r="E6" s="42">
        <f>Projeksiyonlar!F15</f>
        <v>39019390.07</v>
      </c>
      <c r="F6" s="42">
        <f>Projeksiyonlar!G15</f>
        <v>89744597.17</v>
      </c>
      <c r="H6" s="51" t="s">
        <v>168</v>
      </c>
      <c r="I6" s="52">
        <f>Varsayimlar!$B$17</f>
        <v>0.6</v>
      </c>
    </row>
    <row r="7">
      <c r="A7" s="50" t="s">
        <v>144</v>
      </c>
      <c r="B7" s="42">
        <f>Projeksiyonlar!C27</f>
        <v>637323.5294</v>
      </c>
      <c r="C7" s="42">
        <f>Projeksiyonlar!D27</f>
        <v>2731393.382</v>
      </c>
      <c r="D7" s="42">
        <f>Projeksiyonlar!E27</f>
        <v>9643065.294</v>
      </c>
      <c r="E7" s="42">
        <f>Projeksiyonlar!F27</f>
        <v>28157926.78</v>
      </c>
      <c r="F7" s="42">
        <f>Projeksiyonlar!G27</f>
        <v>65156582.05</v>
      </c>
      <c r="H7" s="51" t="s">
        <v>169</v>
      </c>
      <c r="I7" s="52">
        <f>Varsayimlar!$B$18</f>
        <v>0.2</v>
      </c>
    </row>
    <row r="8">
      <c r="A8" s="50" t="s">
        <v>154</v>
      </c>
      <c r="B8" s="42">
        <f>Projeksiyonlar!C32</f>
        <v>501858.8235</v>
      </c>
      <c r="C8" s="42">
        <f>Projeksiyonlar!D32</f>
        <v>2176314.706</v>
      </c>
      <c r="D8" s="42">
        <f>Projeksiyonlar!E32</f>
        <v>7704772.235</v>
      </c>
      <c r="E8" s="42">
        <f>Projeksiyonlar!F32</f>
        <v>22515693.43</v>
      </c>
      <c r="F8" s="42">
        <f>Projeksiyonlar!G32</f>
        <v>52113552.84</v>
      </c>
      <c r="H8" s="51" t="s">
        <v>170</v>
      </c>
      <c r="I8" s="52">
        <f>Varsayimlar!$B$19</f>
        <v>0.1</v>
      </c>
    </row>
    <row r="9">
      <c r="H9" s="51" t="s">
        <v>171</v>
      </c>
      <c r="I9" s="52">
        <f>Varsayimlar!$B$20</f>
        <v>0.1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F4"/>
    <mergeCell ref="H4:I4"/>
  </mergeCell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0"/>
    <col customWidth="1" min="2" max="2" width="50.0"/>
    <col customWidth="1" min="3" max="3" width="18.0"/>
    <col customWidth="1" min="4" max="4" width="22.0"/>
    <col customWidth="1" min="5" max="5" width="18.0"/>
    <col customWidth="1" min="6" max="26" width="8.71"/>
  </cols>
  <sheetData>
    <row r="2">
      <c r="A2" s="1" t="s">
        <v>112</v>
      </c>
    </row>
    <row r="4">
      <c r="A4" s="4" t="s">
        <v>113</v>
      </c>
      <c r="B4" s="4" t="s">
        <v>114</v>
      </c>
      <c r="C4" s="4" t="s">
        <v>115</v>
      </c>
      <c r="D4" s="4" t="s">
        <v>117</v>
      </c>
      <c r="E4" s="4" t="s">
        <v>118</v>
      </c>
    </row>
    <row r="5">
      <c r="A5" s="7" t="s">
        <v>17</v>
      </c>
      <c r="B5" s="44" t="s">
        <v>119</v>
      </c>
      <c r="C5" s="45">
        <v>0.0</v>
      </c>
      <c r="D5" s="47">
        <f>Projeksiyonlar!C14-SUM(Projeksiyonlar!C10:Projeksiyonlar!C13)</f>
        <v>0</v>
      </c>
      <c r="E5" s="32" t="str">
        <f t="shared" ref="E5:E8" si="1">IF(ABS(D5)&lt;0.01, "BAŞARILI ✅", "HATA ❌")</f>
        <v>BAŞARILI ✅</v>
      </c>
    </row>
    <row r="6">
      <c r="A6" s="7" t="s">
        <v>39</v>
      </c>
      <c r="B6" s="44" t="s">
        <v>126</v>
      </c>
      <c r="C6" s="45">
        <v>0.0</v>
      </c>
      <c r="D6" s="47">
        <f>Projeksiyonlar!C15-(Projeksiyonlar!C14/Varsayimlar!$B$7)</f>
        <v>0</v>
      </c>
      <c r="E6" s="32" t="str">
        <f t="shared" si="1"/>
        <v>BAŞARILI ✅</v>
      </c>
    </row>
    <row r="7">
      <c r="A7" s="7" t="s">
        <v>57</v>
      </c>
      <c r="B7" s="44" t="s">
        <v>129</v>
      </c>
      <c r="C7" s="45">
        <v>0.0</v>
      </c>
      <c r="D7" s="47">
        <f>Projeksiyonlar!C26-(Projeksiyonlar!C14-Projeksiyonlar!C23)</f>
        <v>0</v>
      </c>
      <c r="E7" s="32" t="str">
        <f t="shared" si="1"/>
        <v>BAŞARILI ✅</v>
      </c>
    </row>
    <row r="8">
      <c r="A8" s="7" t="s">
        <v>62</v>
      </c>
      <c r="B8" s="44" t="s">
        <v>132</v>
      </c>
      <c r="C8" s="45">
        <v>0.0</v>
      </c>
      <c r="D8" s="47">
        <f>Projeksiyonlar!C31-(Projeksiyonlar!C26-Projeksiyonlar!C29-Projeksiyonlar!C30)</f>
        <v>0</v>
      </c>
      <c r="E8" s="32" t="str">
        <f t="shared" si="1"/>
        <v>BAŞARILI ✅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2026-08-12T01:02:16Z</dcterms:created>
  <dc:creator>openpyxl</dc:creator>
</cp:coreProperties>
</file>